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915" windowHeight="7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5" i="1"/>
  <c r="D26"/>
  <c r="G22"/>
  <c r="G21"/>
  <c r="G20"/>
  <c r="G19"/>
  <c r="I15"/>
  <c r="I20" s="1"/>
  <c r="I16"/>
  <c r="I21" s="1"/>
  <c r="I17"/>
  <c r="I22" s="1"/>
  <c r="I14"/>
  <c r="I19" s="1"/>
  <c r="F7"/>
  <c r="G7" s="1"/>
  <c r="F6"/>
  <c r="G6" s="1"/>
  <c r="G5"/>
  <c r="D27" l="1"/>
  <c r="F9" s="1"/>
  <c r="G9" s="1"/>
  <c r="H9" s="1"/>
  <c r="G23"/>
  <c r="E8" s="1"/>
  <c r="E10" s="1"/>
  <c r="I23"/>
  <c r="F8" s="1"/>
  <c r="G8" s="1"/>
  <c r="H5" s="1"/>
  <c r="H8" l="1"/>
  <c r="H6"/>
  <c r="H10" s="1"/>
  <c r="H7"/>
  <c r="G10"/>
  <c r="F10" s="1"/>
  <c r="F11" s="1"/>
</calcChain>
</file>

<file path=xl/sharedStrings.xml><?xml version="1.0" encoding="utf-8"?>
<sst xmlns="http://schemas.openxmlformats.org/spreadsheetml/2006/main" count="66" uniqueCount="61">
  <si>
    <t>Description</t>
  </si>
  <si>
    <t xml:space="preserve"> Incertitude type relative
u(x) / x</t>
  </si>
  <si>
    <t>rep</t>
  </si>
  <si>
    <t>VT</t>
  </si>
  <si>
    <t>Répétabilité</t>
  </si>
  <si>
    <t>Masse de HPK</t>
  </si>
  <si>
    <t>Pureté de HPK</t>
  </si>
  <si>
    <t>Masse molaire de HPK</t>
  </si>
  <si>
    <t>Volume de NaOH pour le titrage de la HPK</t>
  </si>
  <si>
    <t>Solution de naOH</t>
  </si>
  <si>
    <t>g</t>
  </si>
  <si>
    <t>g/mol</t>
  </si>
  <si>
    <t>mL</t>
  </si>
  <si>
    <t>mol/L</t>
  </si>
  <si>
    <t>m(KHP)</t>
  </si>
  <si>
    <t>P(KHP)</t>
  </si>
  <si>
    <t>M(KHP)</t>
  </si>
  <si>
    <t>C(NaOH)</t>
  </si>
  <si>
    <t>en %</t>
  </si>
  <si>
    <t>La pureté du HPK est notée dans le catalogue du</t>
  </si>
  <si>
    <t>fournisseur comme étant comprise entre 99,95 % et</t>
  </si>
  <si>
    <t>L'hydrogéno-phtalate de potassium (HPK) a la formule</t>
  </si>
  <si>
    <t>conventionnelle suivante :</t>
  </si>
  <si>
    <t>C8H5O4K</t>
  </si>
  <si>
    <t>L'incertitude sur la masse molaire du composé peut être</t>
  </si>
  <si>
    <t>déterminée en combinant l'incertitude sur les poids</t>
  </si>
  <si>
    <t>atomiques des éléments qui le constituent.</t>
  </si>
  <si>
    <t>Le certificat d'étalonnage de la balance</t>
  </si>
  <si>
    <t>indique ± 0,15 mg pour la linéarité.</t>
  </si>
  <si>
    <t>Loi rectangulaire, 2 pesées (tare + KHP)</t>
  </si>
  <si>
    <t>loi rectangulaire</t>
  </si>
  <si>
    <t>100,05 %. PKHP est par conséquent 1,0000 ± 0,0005.</t>
  </si>
  <si>
    <t>Elément</t>
  </si>
  <si>
    <t>Poids atomique</t>
  </si>
  <si>
    <t>incertitude type</t>
  </si>
  <si>
    <t>C</t>
  </si>
  <si>
    <t>H</t>
  </si>
  <si>
    <t>O</t>
  </si>
  <si>
    <t>K</t>
  </si>
  <si>
    <r>
      <t xml:space="preserve">Incertitude indiquée </t>
    </r>
    <r>
      <rPr>
        <u/>
        <sz val="11"/>
        <color theme="1"/>
        <rFont val="Calibri"/>
        <family val="2"/>
        <scheme val="minor"/>
      </rPr>
      <t>+</t>
    </r>
  </si>
  <si>
    <t>C8</t>
  </si>
  <si>
    <t>H5</t>
  </si>
  <si>
    <t>O4</t>
  </si>
  <si>
    <t>Volume VT</t>
  </si>
  <si>
    <t>Effet des variations de température</t>
  </si>
  <si>
    <r>
      <t xml:space="preserve">burette 20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0,03 mL (loi triangulaire)</t>
    </r>
  </si>
  <si>
    <t>u(VT)</t>
  </si>
  <si>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3°C</t>
    </r>
  </si>
  <si>
    <t>VCB # 19 mL</t>
  </si>
  <si>
    <t>dilatation de l'eau = 2,1E-4/°C</t>
  </si>
  <si>
    <t>Pas de composante de biais</t>
  </si>
  <si>
    <t>Donc</t>
  </si>
  <si>
    <t>Exemple A2 page 42 du guide Eurachem / CITAC : Etalonnage d'une solution de soude</t>
  </si>
  <si>
    <t>Détermination de l'incertitude par méthode analytique</t>
  </si>
  <si>
    <t>Valeur
x</t>
  </si>
  <si>
    <t xml:space="preserve"> Incertitude type
u</t>
  </si>
  <si>
    <t>Type</t>
  </si>
  <si>
    <t>A</t>
  </si>
  <si>
    <t>B</t>
  </si>
  <si>
    <r>
      <t xml:space="preserve">CNaOH = (0,1021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0,0002) mol/L</t>
    </r>
  </si>
  <si>
    <t>U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</si>
</sst>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000"/>
    <numFmt numFmtId="167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100" baseline="0" smtClean="0"/>
              <a:t>Contributions à l'incertitude dans</a:t>
            </a:r>
          </a:p>
          <a:p>
            <a:pPr>
              <a:defRPr/>
            </a:pPr>
            <a:r>
              <a:rPr lang="fr-FR" sz="1100" baseline="0" smtClean="0"/>
              <a:t>l'étalonnage de NaOH (en %)</a:t>
            </a:r>
            <a:endParaRPr lang="fr-FR" sz="11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cat>
            <c:strRef>
              <c:f>Feuil1!$C$5:$C$9</c:f>
              <c:strCache>
                <c:ptCount val="5"/>
                <c:pt idx="0">
                  <c:v>rep</c:v>
                </c:pt>
                <c:pt idx="1">
                  <c:v>m(KHP)</c:v>
                </c:pt>
                <c:pt idx="2">
                  <c:v>P(KHP)</c:v>
                </c:pt>
                <c:pt idx="3">
                  <c:v>M(KHP)</c:v>
                </c:pt>
                <c:pt idx="4">
                  <c:v>VT</c:v>
                </c:pt>
              </c:strCache>
            </c:strRef>
          </c:cat>
          <c:val>
            <c:numRef>
              <c:f>Feuil1!$H$5:$H$9</c:f>
              <c:numCache>
                <c:formatCode>0.0</c:formatCode>
                <c:ptCount val="5"/>
                <c:pt idx="0">
                  <c:v>26.934895957101059</c:v>
                </c:pt>
                <c:pt idx="1">
                  <c:v>16.969329056031672</c:v>
                </c:pt>
                <c:pt idx="2">
                  <c:v>15.550869431426861</c:v>
                </c:pt>
                <c:pt idx="3">
                  <c:v>0.9932173609103655</c:v>
                </c:pt>
                <c:pt idx="4">
                  <c:v>39.551688194530044</c:v>
                </c:pt>
              </c:numCache>
            </c:numRef>
          </c:val>
        </c:ser>
        <c:axId val="66818432"/>
        <c:axId val="66819968"/>
      </c:barChart>
      <c:catAx>
        <c:axId val="66818432"/>
        <c:scaling>
          <c:orientation val="minMax"/>
        </c:scaling>
        <c:axPos val="l"/>
        <c:tickLblPos val="nextTo"/>
        <c:crossAx val="66819968"/>
        <c:crosses val="autoZero"/>
        <c:auto val="1"/>
        <c:lblAlgn val="ctr"/>
        <c:lblOffset val="100"/>
      </c:catAx>
      <c:valAx>
        <c:axId val="66819968"/>
        <c:scaling>
          <c:orientation val="minMax"/>
        </c:scaling>
        <c:axPos val="b"/>
        <c:majorGridlines/>
        <c:numFmt formatCode="0.0" sourceLinked="1"/>
        <c:tickLblPos val="nextTo"/>
        <c:crossAx val="668184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2143125</xdr:colOff>
      <xdr:row>24</xdr:row>
      <xdr:rowOff>0</xdr:rowOff>
    </xdr:from>
    <xdr:to>
      <xdr:col>8</xdr:col>
      <xdr:colOff>9525</xdr:colOff>
      <xdr:row>38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activeCell="B1" sqref="B1:H1"/>
    </sheetView>
  </sheetViews>
  <sheetFormatPr baseColWidth="10" defaultRowHeight="15"/>
  <cols>
    <col min="1" max="1" width="15.140625" style="1" bestFit="1" customWidth="1"/>
    <col min="3" max="3" width="34" bestFit="1" customWidth="1"/>
    <col min="4" max="4" width="38.7109375" bestFit="1" customWidth="1"/>
    <col min="6" max="6" width="15.7109375" bestFit="1" customWidth="1"/>
    <col min="7" max="7" width="23.28515625" bestFit="1" customWidth="1"/>
  </cols>
  <sheetData>
    <row r="1" spans="1:9">
      <c r="B1" s="20" t="s">
        <v>52</v>
      </c>
      <c r="C1" s="20"/>
      <c r="D1" s="20"/>
      <c r="E1" s="20"/>
      <c r="F1" s="20"/>
      <c r="G1" s="20"/>
      <c r="H1" s="20"/>
    </row>
    <row r="2" spans="1:9">
      <c r="B2" s="19" t="s">
        <v>53</v>
      </c>
      <c r="C2" s="19"/>
      <c r="D2" s="19"/>
      <c r="E2" s="19"/>
      <c r="F2" s="19"/>
      <c r="G2" s="19"/>
      <c r="H2" s="19"/>
    </row>
    <row r="4" spans="1:9" s="6" customFormat="1" ht="30">
      <c r="A4" s="8" t="s">
        <v>56</v>
      </c>
      <c r="B4" s="7"/>
      <c r="C4" s="7"/>
      <c r="D4" s="7" t="s">
        <v>0</v>
      </c>
      <c r="E4" s="8" t="s">
        <v>54</v>
      </c>
      <c r="F4" s="8" t="s">
        <v>55</v>
      </c>
      <c r="G4" s="8" t="s">
        <v>1</v>
      </c>
      <c r="H4" s="7" t="s">
        <v>18</v>
      </c>
    </row>
    <row r="5" spans="1:9">
      <c r="A5" s="14" t="s">
        <v>57</v>
      </c>
      <c r="B5" s="9"/>
      <c r="C5" s="9" t="s">
        <v>2</v>
      </c>
      <c r="D5" s="9" t="s">
        <v>4</v>
      </c>
      <c r="E5" s="9">
        <v>1</v>
      </c>
      <c r="F5" s="9">
        <v>5.0000000000000001E-4</v>
      </c>
      <c r="G5" s="10">
        <f>F5/E5</f>
        <v>5.0000000000000001E-4</v>
      </c>
      <c r="H5" s="11">
        <f>100*G5/SUM($G$5:$G$9)</f>
        <v>26.934895957101059</v>
      </c>
    </row>
    <row r="6" spans="1:9">
      <c r="A6" s="14" t="s">
        <v>58</v>
      </c>
      <c r="B6" s="9" t="s">
        <v>10</v>
      </c>
      <c r="C6" s="9" t="s">
        <v>14</v>
      </c>
      <c r="D6" s="9" t="s">
        <v>5</v>
      </c>
      <c r="E6" s="9">
        <v>0.38879999999999998</v>
      </c>
      <c r="F6" s="12">
        <f>SQRT(2*POWER((0.15/SQRT(3)),2))/1000</f>
        <v>1.2247448713915889E-4</v>
      </c>
      <c r="G6" s="10">
        <f t="shared" ref="G6:G9" si="0">F6/E6</f>
        <v>3.1500639696285728E-4</v>
      </c>
      <c r="H6" s="11">
        <f t="shared" ref="H6:H9" si="1">100*G6/SUM($G$5:$G$9)</f>
        <v>16.969329056031672</v>
      </c>
    </row>
    <row r="7" spans="1:9">
      <c r="A7" s="14" t="s">
        <v>58</v>
      </c>
      <c r="B7" s="9"/>
      <c r="C7" s="9" t="s">
        <v>15</v>
      </c>
      <c r="D7" s="9" t="s">
        <v>6</v>
      </c>
      <c r="E7" s="9">
        <v>1</v>
      </c>
      <c r="F7" s="12">
        <f>0.0005/SQRT(3)</f>
        <v>2.886751345948129E-4</v>
      </c>
      <c r="G7" s="10">
        <f t="shared" si="0"/>
        <v>2.886751345948129E-4</v>
      </c>
      <c r="H7" s="11">
        <f t="shared" si="1"/>
        <v>15.550869431426861</v>
      </c>
    </row>
    <row r="8" spans="1:9">
      <c r="A8" s="14" t="s">
        <v>58</v>
      </c>
      <c r="B8" s="9" t="s">
        <v>11</v>
      </c>
      <c r="C8" s="9" t="s">
        <v>16</v>
      </c>
      <c r="D8" s="9" t="s">
        <v>7</v>
      </c>
      <c r="E8" s="9">
        <f>G23</f>
        <v>204.22119999999998</v>
      </c>
      <c r="F8" s="13">
        <f>I23</f>
        <v>3.7653021127128702E-3</v>
      </c>
      <c r="G8" s="10">
        <f t="shared" si="0"/>
        <v>1.8437371402738161E-5</v>
      </c>
      <c r="H8" s="11">
        <f t="shared" si="1"/>
        <v>0.9932173609103655</v>
      </c>
    </row>
    <row r="9" spans="1:9">
      <c r="A9" s="14" t="s">
        <v>58</v>
      </c>
      <c r="B9" s="9" t="s">
        <v>12</v>
      </c>
      <c r="C9" s="9" t="s">
        <v>3</v>
      </c>
      <c r="D9" s="9" t="s">
        <v>8</v>
      </c>
      <c r="E9" s="9">
        <v>18.64</v>
      </c>
      <c r="F9" s="13">
        <f>D27</f>
        <v>1.3685656501518333E-2</v>
      </c>
      <c r="G9" s="10">
        <f t="shared" si="0"/>
        <v>7.3420903978102644E-4</v>
      </c>
      <c r="H9" s="11">
        <f t="shared" si="1"/>
        <v>39.551688194530044</v>
      </c>
    </row>
    <row r="10" spans="1:9">
      <c r="A10" s="14"/>
      <c r="B10" s="9" t="s">
        <v>13</v>
      </c>
      <c r="C10" s="9" t="s">
        <v>17</v>
      </c>
      <c r="D10" s="9" t="s">
        <v>9</v>
      </c>
      <c r="E10" s="12">
        <f>1000*E6*E7/E8/E9</f>
        <v>0.1021361597067907</v>
      </c>
      <c r="F10" s="12">
        <f>E10*G10</f>
        <v>1.0069429963103214E-4</v>
      </c>
      <c r="G10" s="10">
        <f>SQRT(G5*G5+G6*G6+G7*G7+G8*G8+G9*G9)</f>
        <v>9.8588296172581963E-4</v>
      </c>
      <c r="H10" s="11">
        <f>SUM(H5:H9)</f>
        <v>100</v>
      </c>
    </row>
    <row r="11" spans="1:9">
      <c r="D11" s="3"/>
      <c r="E11" s="3" t="s">
        <v>60</v>
      </c>
      <c r="F11" s="4">
        <f>2*F10</f>
        <v>2.0138859926206428E-4</v>
      </c>
    </row>
    <row r="12" spans="1:9">
      <c r="D12" s="16" t="s">
        <v>51</v>
      </c>
      <c r="E12" s="3" t="s">
        <v>59</v>
      </c>
      <c r="F12" s="3"/>
    </row>
    <row r="13" spans="1:9" ht="30">
      <c r="A13" t="s">
        <v>19</v>
      </c>
      <c r="D13" t="s">
        <v>21</v>
      </c>
      <c r="F13" s="8" t="s">
        <v>32</v>
      </c>
      <c r="G13" s="8" t="s">
        <v>33</v>
      </c>
      <c r="H13" s="8" t="s">
        <v>39</v>
      </c>
      <c r="I13" s="8" t="s">
        <v>34</v>
      </c>
    </row>
    <row r="14" spans="1:9">
      <c r="A14" t="s">
        <v>20</v>
      </c>
      <c r="D14" t="s">
        <v>22</v>
      </c>
      <c r="F14" s="14" t="s">
        <v>35</v>
      </c>
      <c r="G14" s="14">
        <v>12.0107</v>
      </c>
      <c r="H14" s="14">
        <v>8.0000000000000004E-4</v>
      </c>
      <c r="I14" s="15">
        <f>H14/SQRT(3)</f>
        <v>4.6188021535170068E-4</v>
      </c>
    </row>
    <row r="15" spans="1:9">
      <c r="A15" t="s">
        <v>31</v>
      </c>
      <c r="D15" t="s">
        <v>23</v>
      </c>
      <c r="F15" s="14" t="s">
        <v>36</v>
      </c>
      <c r="G15" s="14">
        <v>1.0079400000000001</v>
      </c>
      <c r="H15" s="14">
        <v>6.9999999999999994E-5</v>
      </c>
      <c r="I15" s="15">
        <f t="shared" ref="I15:I17" si="2">H15/SQRT(3)</f>
        <v>4.0414518843273801E-5</v>
      </c>
    </row>
    <row r="16" spans="1:9">
      <c r="A16" t="s">
        <v>30</v>
      </c>
      <c r="D16" t="s">
        <v>24</v>
      </c>
      <c r="F16" s="14" t="s">
        <v>37</v>
      </c>
      <c r="G16" s="14">
        <v>15.9994</v>
      </c>
      <c r="H16" s="14">
        <v>2.9999999999999997E-4</v>
      </c>
      <c r="I16" s="15">
        <f t="shared" si="2"/>
        <v>1.7320508075688773E-4</v>
      </c>
    </row>
    <row r="17" spans="1:9">
      <c r="A17"/>
      <c r="D17" t="s">
        <v>25</v>
      </c>
      <c r="F17" s="14" t="s">
        <v>38</v>
      </c>
      <c r="G17" s="14">
        <v>39.098300000000002</v>
      </c>
      <c r="H17" s="14">
        <v>1E-4</v>
      </c>
      <c r="I17" s="15">
        <f t="shared" si="2"/>
        <v>5.7735026918962585E-5</v>
      </c>
    </row>
    <row r="18" spans="1:9">
      <c r="A18"/>
      <c r="D18" t="s">
        <v>26</v>
      </c>
    </row>
    <row r="19" spans="1:9">
      <c r="A19"/>
      <c r="F19" s="14" t="s">
        <v>40</v>
      </c>
      <c r="G19" s="14">
        <f>8*G14</f>
        <v>96.085599999999999</v>
      </c>
      <c r="H19" s="14"/>
      <c r="I19" s="15">
        <f>8*I14</f>
        <v>3.6950417228136054E-3</v>
      </c>
    </row>
    <row r="20" spans="1:9">
      <c r="A20" t="s">
        <v>27</v>
      </c>
      <c r="F20" s="14" t="s">
        <v>41</v>
      </c>
      <c r="G20" s="14">
        <f>5*G15</f>
        <v>5.0396999999999998</v>
      </c>
      <c r="H20" s="14"/>
      <c r="I20" s="15">
        <f>5*I15</f>
        <v>2.0207259421636901E-4</v>
      </c>
    </row>
    <row r="21" spans="1:9">
      <c r="A21" t="s">
        <v>28</v>
      </c>
      <c r="F21" s="14" t="s">
        <v>42</v>
      </c>
      <c r="G21" s="14">
        <f>4*G16</f>
        <v>63.997599999999998</v>
      </c>
      <c r="H21" s="14"/>
      <c r="I21" s="15">
        <f>4*I16</f>
        <v>6.9282032302755091E-4</v>
      </c>
    </row>
    <row r="22" spans="1:9">
      <c r="A22" t="s">
        <v>29</v>
      </c>
      <c r="F22" s="14" t="s">
        <v>38</v>
      </c>
      <c r="G22" s="14">
        <f>1*G17</f>
        <v>39.098300000000002</v>
      </c>
      <c r="H22" s="14"/>
      <c r="I22" s="15">
        <f>1*I17</f>
        <v>5.7735026918962585E-5</v>
      </c>
    </row>
    <row r="23" spans="1:9">
      <c r="A23"/>
      <c r="F23" s="2" t="s">
        <v>16</v>
      </c>
      <c r="G23" s="3">
        <f>SUM(G19:G22)</f>
        <v>204.22119999999998</v>
      </c>
      <c r="H23" s="3"/>
      <c r="I23" s="4">
        <f>SQRT(SUM(I19*I19+I20*I20+I21*I21+I22*I22))</f>
        <v>3.7653021127128702E-3</v>
      </c>
    </row>
    <row r="24" spans="1:9">
      <c r="A24"/>
    </row>
    <row r="25" spans="1:9">
      <c r="A25" t="s">
        <v>43</v>
      </c>
      <c r="B25" s="5" t="s">
        <v>47</v>
      </c>
      <c r="C25" t="s">
        <v>44</v>
      </c>
      <c r="D25" s="17">
        <f>19*0.00021*3/1.96</f>
        <v>6.1071428571428579E-3</v>
      </c>
    </row>
    <row r="26" spans="1:9">
      <c r="A26"/>
      <c r="B26" t="s">
        <v>48</v>
      </c>
      <c r="C26" t="s">
        <v>45</v>
      </c>
      <c r="D26" s="17">
        <f>0.03/SQRT(6)</f>
        <v>1.2247448713915891E-2</v>
      </c>
    </row>
    <row r="27" spans="1:9">
      <c r="A27"/>
      <c r="C27" s="16" t="s">
        <v>46</v>
      </c>
      <c r="D27" s="18">
        <f>SQRT(D25*D25+D26*D26)</f>
        <v>1.3685656501518333E-2</v>
      </c>
    </row>
    <row r="28" spans="1:9">
      <c r="A28"/>
      <c r="B28" t="s">
        <v>49</v>
      </c>
    </row>
    <row r="29" spans="1:9">
      <c r="A29"/>
    </row>
    <row r="30" spans="1:9">
      <c r="A30" t="s">
        <v>50</v>
      </c>
    </row>
  </sheetData>
  <mergeCells count="2">
    <mergeCell ref="B1:H1"/>
    <mergeCell ref="B2:H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CAVALLA</dc:creator>
  <cp:lastModifiedBy>Michel CAVALLA</cp:lastModifiedBy>
  <cp:lastPrinted>2012-03-20T19:11:13Z</cp:lastPrinted>
  <dcterms:created xsi:type="dcterms:W3CDTF">2012-03-20T17:47:52Z</dcterms:created>
  <dcterms:modified xsi:type="dcterms:W3CDTF">2013-08-21T13:02:31Z</dcterms:modified>
</cp:coreProperties>
</file>